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Sheet1!$A$1:$T$34</definedName>
  </definedNames>
  <calcPr calcId="152511"/>
</workbook>
</file>

<file path=xl/calcChain.xml><?xml version="1.0" encoding="utf-8"?>
<calcChain xmlns="http://schemas.openxmlformats.org/spreadsheetml/2006/main">
  <c r="U6" i="1" l="1"/>
  <c r="U12" i="1"/>
  <c r="U10" i="1"/>
  <c r="U4" i="1"/>
  <c r="L7" i="1"/>
  <c r="L10" i="1"/>
  <c r="L17" i="1"/>
  <c r="L33" i="1"/>
  <c r="L29" i="1"/>
  <c r="B41" i="1"/>
  <c r="F30" i="1"/>
  <c r="B30" i="1" s="1"/>
  <c r="F28" i="1"/>
  <c r="B28" i="1" s="1"/>
  <c r="B40" i="1"/>
  <c r="F34" i="1"/>
  <c r="B34" i="1" s="1"/>
  <c r="L24" i="1"/>
  <c r="B21" i="1"/>
  <c r="F23" i="1" s="1"/>
  <c r="B8" i="1"/>
  <c r="B4" i="1"/>
  <c r="B16" i="1"/>
  <c r="B13" i="1"/>
</calcChain>
</file>

<file path=xl/sharedStrings.xml><?xml version="1.0" encoding="utf-8"?>
<sst xmlns="http://schemas.openxmlformats.org/spreadsheetml/2006/main" count="130" uniqueCount="89">
  <si>
    <t>CFM</t>
  </si>
  <si>
    <t>BTU/H</t>
  </si>
  <si>
    <t>=</t>
  </si>
  <si>
    <t>/</t>
  </si>
  <si>
    <t>▲T</t>
  </si>
  <si>
    <t>Heating CFM</t>
  </si>
  <si>
    <t>Cooling CFM</t>
  </si>
  <si>
    <t>Tons</t>
  </si>
  <si>
    <t>CFM/Ton</t>
  </si>
  <si>
    <t xml:space="preserve"> 400 CFM/Ton (Typical)</t>
  </si>
  <si>
    <t xml:space="preserve"> CFM</t>
  </si>
  <si>
    <t>@</t>
  </si>
  <si>
    <t>1.08 x CFM (Typical)</t>
  </si>
  <si>
    <t>(1.08 x ▲T)</t>
  </si>
  <si>
    <r>
      <t xml:space="preserve">Airflow required when you know the furnace </t>
    </r>
    <r>
      <rPr>
        <b/>
        <i/>
        <sz val="11"/>
        <color theme="1"/>
        <rFont val="Calibri"/>
        <family val="2"/>
        <scheme val="minor"/>
      </rPr>
      <t>output</t>
    </r>
    <r>
      <rPr>
        <sz val="11"/>
        <color theme="1"/>
        <rFont val="Calibri"/>
        <family val="2"/>
        <scheme val="minor"/>
      </rPr>
      <t xml:space="preserve"> and</t>
    </r>
  </si>
  <si>
    <t>Total Sensible Heat.</t>
  </si>
  <si>
    <t>TSH</t>
  </si>
  <si>
    <t>X</t>
  </si>
  <si>
    <t xml:space="preserve">CFM X 1.08 x ▲T </t>
  </si>
  <si>
    <t>PRESSURE = TOTAL-STATIC, THEN SQRT OF PRESSURE x 4005 x SQFT OF DUCT (FT LENGTH X FT WIDTH) OR pi*RADIUS^2</t>
  </si>
  <si>
    <t>Fan Laws</t>
  </si>
  <si>
    <t>New CFM= (new rpm x existing cfm)/existing rpm</t>
  </si>
  <si>
    <t>New CFM</t>
  </si>
  <si>
    <t>New RPM</t>
  </si>
  <si>
    <t>Existing CFM</t>
  </si>
  <si>
    <t>New RPM=</t>
  </si>
  <si>
    <t>Existing RPM</t>
  </si>
  <si>
    <t xml:space="preserve">Static Pressure  </t>
  </si>
  <si>
    <t>New s.p=existing s.p x (new RPM/existing RPM)^2</t>
  </si>
  <si>
    <t>New Static Pressure</t>
  </si>
  <si>
    <t>Exist S.P.</t>
  </si>
  <si>
    <t xml:space="preserve">Horsepower </t>
  </si>
  <si>
    <t>New hp=existing hp x (new RPM/existing RPM)^3</t>
  </si>
  <si>
    <t>New Horsepower</t>
  </si>
  <si>
    <t>Existing HP</t>
  </si>
  <si>
    <t>Pulley fan RPM</t>
  </si>
  <si>
    <t>Fan RPM</t>
  </si>
  <si>
    <t>Motor RPM</t>
  </si>
  <si>
    <t>Fan Pulley</t>
  </si>
  <si>
    <t xml:space="preserve">Diameter of </t>
  </si>
  <si>
    <t>Motor Pulley</t>
  </si>
  <si>
    <t>Static</t>
  </si>
  <si>
    <t>(Return Port)</t>
  </si>
  <si>
    <t>(Round Duct) CFM</t>
  </si>
  <si>
    <t>(Rect. Duct) CFM</t>
  </si>
  <si>
    <t>Adjusted CFM</t>
  </si>
  <si>
    <t>Temp (F°)</t>
  </si>
  <si>
    <t>Duct</t>
  </si>
  <si>
    <t>Width (in)</t>
  </si>
  <si>
    <t>Alt. (Feet)</t>
  </si>
  <si>
    <t>AD Corr Factor</t>
  </si>
  <si>
    <t>CFM (above)</t>
  </si>
  <si>
    <t>Alternate constant</t>
  </si>
  <si>
    <t>temp &amp; pressure calc</t>
  </si>
  <si>
    <t>Lenth (in)</t>
  </si>
  <si>
    <t>Ft/min</t>
  </si>
  <si>
    <t>Diam (in)</t>
  </si>
  <si>
    <t>Standard constant</t>
  </si>
  <si>
    <t>Misc. Scratch Pad-doesn't affect above calculations</t>
  </si>
  <si>
    <t>CFM-Electric Heat</t>
  </si>
  <si>
    <t>Volts</t>
  </si>
  <si>
    <t>Amps</t>
  </si>
  <si>
    <t>(3.4141BTU/Watt)</t>
  </si>
  <si>
    <t>14 CFM/1000 BTU/h (Typical)</t>
  </si>
  <si>
    <t>New RPM=(new cfm X existing rpm) / existing cfm</t>
  </si>
  <si>
    <t>Calculate thermal efficiency.</t>
  </si>
  <si>
    <t>Calculate ▲T (Temperature drop/rise through the heat exchanger).</t>
  </si>
  <si>
    <t>size of evaporator coil.  Size ductwork to larger CFM.</t>
  </si>
  <si>
    <t>Airflow when you know the ▲T,   CFM=BTU/h / (1.08 x ▲T).</t>
  </si>
  <si>
    <t>Calculate CFM from Pressure.</t>
  </si>
  <si>
    <t>Adjusted CFM for Temperature and Altitude.</t>
  </si>
  <si>
    <t>Fan Law 1.</t>
  </si>
  <si>
    <t>Fan Law 2.</t>
  </si>
  <si>
    <t>Fan Law 3.</t>
  </si>
  <si>
    <t xml:space="preserve"> Total System Efficiency</t>
  </si>
  <si>
    <t>Furnace BTU Input</t>
  </si>
  <si>
    <t>Compare Total Sensible Heat to Furnace BTU intput.</t>
  </si>
  <si>
    <t xml:space="preserve"> Existing CFM</t>
  </si>
  <si>
    <t>Capacitors</t>
  </si>
  <si>
    <t>New µf</t>
  </si>
  <si>
    <t>In Series, µf will be lower, Volts are added together.</t>
  </si>
  <si>
    <t>Cap1 µf</t>
  </si>
  <si>
    <t>Cap2 µf</t>
  </si>
  <si>
    <t>Cap3 µf</t>
  </si>
  <si>
    <t>Cap1 Volts</t>
  </si>
  <si>
    <t>Cap2 Volts</t>
  </si>
  <si>
    <t>Cap3 Volts</t>
  </si>
  <si>
    <t>New Volts=</t>
  </si>
  <si>
    <t>In Parallel-Add Capacitors together, Volts = lowest rated capacitor.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</si>
</sst>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8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2" borderId="0" xfId="0" applyFill="1" applyBorder="1" applyProtection="1"/>
    <xf numFmtId="0" fontId="0" fillId="0" borderId="0" xfId="0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4" xfId="0" applyFill="1" applyBorder="1" applyProtection="1"/>
    <xf numFmtId="0" fontId="0" fillId="2" borderId="5" xfId="0" applyFill="1" applyBorder="1" applyAlignment="1" applyProtection="1">
      <alignment horizontal="right"/>
    </xf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right"/>
    </xf>
    <xf numFmtId="0" fontId="0" fillId="2" borderId="1" xfId="0" applyFill="1" applyBorder="1" applyAlignment="1" applyProtection="1">
      <alignment horizontal="center"/>
    </xf>
    <xf numFmtId="0" fontId="0" fillId="2" borderId="6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horizontal="center"/>
    </xf>
    <xf numFmtId="0" fontId="0" fillId="2" borderId="9" xfId="0" applyFill="1" applyBorder="1" applyProtection="1"/>
    <xf numFmtId="0" fontId="0" fillId="2" borderId="10" xfId="0" applyFill="1" applyBorder="1" applyProtection="1"/>
    <xf numFmtId="1" fontId="0" fillId="2" borderId="10" xfId="0" applyNumberFormat="1" applyFill="1" applyBorder="1" applyProtection="1"/>
    <xf numFmtId="0" fontId="0" fillId="2" borderId="0" xfId="0" applyFill="1" applyBorder="1" applyAlignment="1" applyProtection="1">
      <alignment horizontal="center"/>
    </xf>
    <xf numFmtId="1" fontId="0" fillId="2" borderId="0" xfId="0" applyNumberFormat="1" applyFill="1" applyBorder="1" applyProtection="1"/>
    <xf numFmtId="1" fontId="1" fillId="2" borderId="7" xfId="0" applyNumberFormat="1" applyFont="1" applyFill="1" applyBorder="1" applyProtection="1"/>
    <xf numFmtId="1" fontId="1" fillId="2" borderId="10" xfId="0" applyNumberFormat="1" applyFont="1" applyFill="1" applyBorder="1" applyProtection="1"/>
    <xf numFmtId="1" fontId="1" fillId="2" borderId="2" xfId="0" applyNumberFormat="1" applyFont="1" applyFill="1" applyBorder="1" applyProtection="1"/>
    <xf numFmtId="1" fontId="1" fillId="2" borderId="3" xfId="0" applyNumberFormat="1" applyFont="1" applyFill="1" applyBorder="1" applyProtection="1"/>
    <xf numFmtId="1" fontId="0" fillId="2" borderId="5" xfId="0" applyNumberFormat="1" applyFont="1" applyFill="1" applyBorder="1" applyAlignment="1" applyProtection="1">
      <alignment horizontal="right"/>
    </xf>
    <xf numFmtId="1" fontId="1" fillId="2" borderId="7" xfId="0" applyNumberFormat="1" applyFont="1" applyFill="1" applyBorder="1" applyAlignment="1" applyProtection="1">
      <alignment horizontal="right"/>
    </xf>
    <xf numFmtId="0" fontId="0" fillId="2" borderId="8" xfId="0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Protection="1"/>
    <xf numFmtId="1" fontId="1" fillId="2" borderId="6" xfId="0" applyNumberFormat="1" applyFont="1" applyFill="1" applyBorder="1" applyProtection="1"/>
    <xf numFmtId="2" fontId="0" fillId="0" borderId="0" xfId="0" applyNumberFormat="1" applyProtection="1"/>
    <xf numFmtId="0" fontId="0" fillId="0" borderId="0" xfId="0" applyNumberFormat="1" applyProtection="1"/>
    <xf numFmtId="1" fontId="1" fillId="2" borderId="10" xfId="0" applyNumberFormat="1" applyFont="1" applyFill="1" applyBorder="1" applyAlignment="1" applyProtection="1">
      <alignment horizontal="right"/>
    </xf>
    <xf numFmtId="1" fontId="1" fillId="2" borderId="0" xfId="0" applyNumberFormat="1" applyFont="1" applyFill="1" applyBorder="1" applyProtection="1"/>
    <xf numFmtId="1" fontId="0" fillId="2" borderId="1" xfId="0" applyNumberFormat="1" applyFont="1" applyFill="1" applyBorder="1" applyAlignment="1" applyProtection="1">
      <alignment horizontal="right"/>
    </xf>
    <xf numFmtId="1" fontId="0" fillId="2" borderId="12" xfId="0" applyNumberFormat="1" applyFont="1" applyFill="1" applyBorder="1" applyProtection="1"/>
    <xf numFmtId="1" fontId="1" fillId="2" borderId="13" xfId="0" applyNumberFormat="1" applyFont="1" applyFill="1" applyBorder="1" applyProtection="1"/>
    <xf numFmtId="1" fontId="0" fillId="2" borderId="13" xfId="0" applyNumberFormat="1" applyFont="1" applyFill="1" applyBorder="1" applyAlignment="1" applyProtection="1">
      <alignment horizontal="right"/>
    </xf>
    <xf numFmtId="1" fontId="0" fillId="2" borderId="13" xfId="0" applyNumberFormat="1" applyFill="1" applyBorder="1" applyAlignment="1" applyProtection="1">
      <alignment horizontal="right"/>
    </xf>
    <xf numFmtId="0" fontId="3" fillId="2" borderId="0" xfId="0" applyFont="1" applyFill="1" applyBorder="1" applyProtection="1"/>
    <xf numFmtId="1" fontId="0" fillId="2" borderId="1" xfId="0" applyNumberFormat="1" applyFill="1" applyBorder="1" applyAlignment="1" applyProtection="1">
      <alignment horizontal="right"/>
    </xf>
    <xf numFmtId="0" fontId="0" fillId="2" borderId="15" xfId="0" applyFill="1" applyBorder="1" applyAlignment="1" applyProtection="1">
      <alignment horizontal="right" indent="1"/>
    </xf>
    <xf numFmtId="1" fontId="0" fillId="2" borderId="8" xfId="0" applyNumberFormat="1" applyFont="1" applyFill="1" applyBorder="1" applyProtection="1"/>
    <xf numFmtId="2" fontId="1" fillId="2" borderId="16" xfId="0" applyNumberFormat="1" applyFont="1" applyFill="1" applyBorder="1" applyProtection="1"/>
    <xf numFmtId="164" fontId="0" fillId="2" borderId="8" xfId="0" applyNumberFormat="1" applyFont="1" applyFill="1" applyBorder="1" applyProtection="1"/>
    <xf numFmtId="1" fontId="0" fillId="0" borderId="0" xfId="0" applyNumberFormat="1" applyFont="1" applyFill="1" applyBorder="1" applyProtection="1"/>
    <xf numFmtId="0" fontId="0" fillId="0" borderId="0" xfId="0" applyFill="1" applyBorder="1" applyProtection="1"/>
    <xf numFmtId="0" fontId="0" fillId="0" borderId="0" xfId="0" applyFill="1" applyProtection="1"/>
    <xf numFmtId="0" fontId="0" fillId="0" borderId="0" xfId="0" applyFill="1" applyBorder="1" applyAlignment="1" applyProtection="1">
      <alignment horizontal="right" indent="1"/>
    </xf>
    <xf numFmtId="1" fontId="0" fillId="0" borderId="0" xfId="0" applyNumberFormat="1" applyFill="1" applyBorder="1" applyAlignment="1" applyProtection="1">
      <alignment horizontal="right" indent="1"/>
    </xf>
    <xf numFmtId="1" fontId="1" fillId="0" borderId="0" xfId="0" applyNumberFormat="1" applyFont="1" applyFill="1" applyBorder="1" applyProtection="1"/>
    <xf numFmtId="1" fontId="0" fillId="0" borderId="0" xfId="0" applyNumberFormat="1" applyFont="1" applyFill="1" applyBorder="1" applyAlignment="1" applyProtection="1">
      <alignment horizontal="right"/>
    </xf>
    <xf numFmtId="0" fontId="0" fillId="2" borderId="1" xfId="0" applyFill="1" applyBorder="1" applyAlignment="1" applyProtection="1">
      <alignment horizontal="right" indent="1"/>
    </xf>
    <xf numFmtId="1" fontId="0" fillId="2" borderId="16" xfId="0" applyNumberFormat="1" applyFill="1" applyBorder="1" applyAlignment="1" applyProtection="1">
      <alignment horizontal="right" indent="1"/>
    </xf>
    <xf numFmtId="0" fontId="0" fillId="0" borderId="0" xfId="0" applyBorder="1" applyProtection="1"/>
    <xf numFmtId="1" fontId="0" fillId="2" borderId="15" xfId="0" applyNumberFormat="1" applyFont="1" applyFill="1" applyBorder="1" applyAlignment="1" applyProtection="1">
      <alignment horizontal="right" indent="1"/>
    </xf>
    <xf numFmtId="1" fontId="0" fillId="0" borderId="16" xfId="0" applyNumberFormat="1" applyFont="1" applyFill="1" applyBorder="1" applyProtection="1">
      <protection locked="0"/>
    </xf>
    <xf numFmtId="1" fontId="0" fillId="0" borderId="8" xfId="0" applyNumberFormat="1" applyFont="1" applyFill="1" applyBorder="1" applyAlignment="1" applyProtection="1">
      <alignment horizontal="right"/>
      <protection locked="0"/>
    </xf>
    <xf numFmtId="1" fontId="0" fillId="0" borderId="9" xfId="0" applyNumberFormat="1" applyFont="1" applyFill="1" applyBorder="1" applyAlignment="1" applyProtection="1">
      <alignment horizontal="right" indent="1"/>
      <protection locked="0"/>
    </xf>
    <xf numFmtId="0" fontId="3" fillId="2" borderId="6" xfId="0" applyFont="1" applyFill="1" applyBorder="1" applyProtection="1"/>
    <xf numFmtId="1" fontId="0" fillId="0" borderId="0" xfId="0" applyNumberFormat="1" applyFill="1" applyBorder="1" applyProtection="1">
      <protection locked="0"/>
    </xf>
    <xf numFmtId="1" fontId="0" fillId="2" borderId="8" xfId="0" applyNumberFormat="1" applyFill="1" applyBorder="1" applyProtection="1"/>
    <xf numFmtId="1" fontId="0" fillId="0" borderId="14" xfId="0" applyNumberFormat="1" applyFill="1" applyBorder="1" applyAlignment="1" applyProtection="1">
      <alignment horizontal="right" indent="1"/>
      <protection locked="0"/>
    </xf>
    <xf numFmtId="0" fontId="0" fillId="0" borderId="8" xfId="0" applyBorder="1" applyProtection="1"/>
    <xf numFmtId="0" fontId="0" fillId="0" borderId="11" xfId="0" applyFill="1" applyBorder="1" applyProtection="1"/>
    <xf numFmtId="2" fontId="1" fillId="2" borderId="17" xfId="0" applyNumberFormat="1" applyFont="1" applyFill="1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10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9" xfId="0" applyBorder="1" applyProtection="1"/>
    <xf numFmtId="0" fontId="0" fillId="0" borderId="8" xfId="0" applyFill="1" applyBorder="1" applyAlignment="1" applyProtection="1">
      <alignment horizontal="right" indent="1"/>
      <protection locked="0"/>
    </xf>
    <xf numFmtId="0" fontId="0" fillId="2" borderId="6" xfId="0" applyFill="1" applyBorder="1" applyAlignment="1" applyProtection="1">
      <alignment horizontal="right"/>
    </xf>
    <xf numFmtId="0" fontId="4" fillId="2" borderId="3" xfId="0" applyFont="1" applyFill="1" applyBorder="1" applyAlignment="1" applyProtection="1">
      <alignment horizontal="right"/>
    </xf>
    <xf numFmtId="1" fontId="1" fillId="2" borderId="8" xfId="0" applyNumberFormat="1" applyFont="1" applyFill="1" applyBorder="1" applyProtection="1"/>
    <xf numFmtId="1" fontId="0" fillId="2" borderId="7" xfId="0" applyNumberFormat="1" applyFont="1" applyFill="1" applyBorder="1" applyAlignment="1" applyProtection="1">
      <alignment horizontal="right" indent="1"/>
    </xf>
    <xf numFmtId="165" fontId="1" fillId="2" borderId="18" xfId="0" applyNumberFormat="1" applyFont="1" applyFill="1" applyBorder="1" applyProtection="1"/>
    <xf numFmtId="1" fontId="0" fillId="2" borderId="19" xfId="0" applyNumberFormat="1" applyFill="1" applyBorder="1" applyProtection="1"/>
    <xf numFmtId="1" fontId="1" fillId="2" borderId="19" xfId="0" applyNumberFormat="1" applyFont="1" applyFill="1" applyBorder="1" applyProtection="1"/>
    <xf numFmtId="1" fontId="1" fillId="2" borderId="20" xfId="0" applyNumberFormat="1" applyFont="1" applyFill="1" applyBorder="1" applyProtection="1"/>
    <xf numFmtId="1" fontId="0" fillId="0" borderId="8" xfId="0" applyNumberFormat="1" applyFont="1" applyFill="1" applyBorder="1" applyProtection="1">
      <protection locked="0"/>
    </xf>
    <xf numFmtId="1" fontId="1" fillId="2" borderId="19" xfId="0" applyNumberFormat="1" applyFont="1" applyFill="1" applyBorder="1" applyAlignment="1" applyProtection="1">
      <alignment horizontal="left"/>
    </xf>
    <xf numFmtId="1" fontId="0" fillId="2" borderId="8" xfId="0" applyNumberFormat="1" applyFill="1" applyBorder="1" applyAlignment="1" applyProtection="1">
      <alignment horizontal="right" indent="1"/>
    </xf>
    <xf numFmtId="0" fontId="3" fillId="2" borderId="2" xfId="0" applyFont="1" applyFill="1" applyBorder="1" applyProtection="1"/>
    <xf numFmtId="0" fontId="0" fillId="2" borderId="0" xfId="0" applyFill="1" applyBorder="1" applyAlignment="1" applyProtection="1">
      <alignment horizontal="right"/>
    </xf>
    <xf numFmtId="1" fontId="0" fillId="0" borderId="3" xfId="0" applyNumberFormat="1" applyFont="1" applyFill="1" applyBorder="1" applyProtection="1">
      <protection locked="0"/>
    </xf>
    <xf numFmtId="1" fontId="0" fillId="2" borderId="2" xfId="0" applyNumberFormat="1" applyFill="1" applyBorder="1" applyProtection="1"/>
    <xf numFmtId="0" fontId="3" fillId="2" borderId="10" xfId="0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41"/>
  <sheetViews>
    <sheetView showGridLines="0" tabSelected="1" workbookViewId="0">
      <selection activeCell="N17" sqref="N17"/>
    </sheetView>
  </sheetViews>
  <sheetFormatPr defaultRowHeight="15" x14ac:dyDescent="0.25"/>
  <cols>
    <col min="1" max="1" width="5.7109375" style="4" customWidth="1"/>
    <col min="2" max="2" width="17" style="4" customWidth="1"/>
    <col min="3" max="3" width="2.85546875" style="4" customWidth="1"/>
    <col min="4" max="4" width="12.5703125" style="4" customWidth="1"/>
    <col min="5" max="5" width="2.85546875" style="4" customWidth="1"/>
    <col min="6" max="6" width="11" style="4" customWidth="1"/>
    <col min="7" max="7" width="2.85546875" style="4" customWidth="1"/>
    <col min="8" max="8" width="15" style="4" customWidth="1"/>
    <col min="9" max="9" width="3.28515625" style="4" customWidth="1"/>
    <col min="10" max="10" width="10.28515625" style="4" customWidth="1"/>
    <col min="11" max="11" width="5.7109375" style="4" customWidth="1"/>
    <col min="12" max="12" width="19.5703125" style="4" customWidth="1"/>
    <col min="13" max="13" width="2.85546875" style="4" customWidth="1"/>
    <col min="14" max="14" width="12.140625" style="4" customWidth="1"/>
    <col min="15" max="15" width="2.85546875" style="4" customWidth="1"/>
    <col min="16" max="16" width="12.7109375" style="4" customWidth="1"/>
    <col min="17" max="17" width="2.85546875" style="4" customWidth="1"/>
    <col min="18" max="18" width="13" style="4" customWidth="1"/>
    <col min="19" max="19" width="2.7109375" style="4" customWidth="1"/>
    <col min="20" max="20" width="5" style="4" customWidth="1"/>
    <col min="21" max="21" width="9.140625" style="4"/>
    <col min="22" max="22" width="2.5703125" style="4" customWidth="1"/>
    <col min="23" max="23" width="12.85546875" style="4" customWidth="1"/>
    <col min="24" max="24" width="2.140625" style="4" customWidth="1"/>
    <col min="25" max="25" width="11.5703125" style="4" customWidth="1"/>
    <col min="26" max="26" width="2.28515625" style="4" customWidth="1"/>
    <col min="27" max="27" width="10.7109375" style="4" customWidth="1"/>
    <col min="28" max="28" width="8.42578125" style="4" customWidth="1"/>
    <col min="29" max="16384" width="9.140625" style="4"/>
  </cols>
  <sheetData>
    <row r="1" spans="2:28" x14ac:dyDescent="0.25">
      <c r="L1" s="4" t="s">
        <v>20</v>
      </c>
      <c r="U1" s="4" t="s">
        <v>78</v>
      </c>
    </row>
    <row r="2" spans="2:28" x14ac:dyDescent="0.25">
      <c r="B2" s="5" t="s">
        <v>66</v>
      </c>
      <c r="C2" s="6"/>
      <c r="D2" s="6"/>
      <c r="E2" s="6"/>
      <c r="F2" s="6"/>
      <c r="G2" s="6"/>
      <c r="H2" s="6"/>
      <c r="I2" s="6"/>
      <c r="J2" s="7"/>
      <c r="K2" s="63"/>
      <c r="L2" s="5" t="s">
        <v>71</v>
      </c>
      <c r="M2" s="6"/>
      <c r="N2" s="6"/>
      <c r="O2" s="6"/>
      <c r="P2" s="6"/>
      <c r="Q2" s="6"/>
      <c r="R2" s="6"/>
      <c r="S2" s="7"/>
      <c r="U2" s="84" t="s">
        <v>88</v>
      </c>
      <c r="V2" s="6"/>
      <c r="W2" s="6"/>
      <c r="X2" s="6"/>
      <c r="Y2" s="6"/>
      <c r="Z2" s="6"/>
      <c r="AA2" s="6"/>
      <c r="AB2" s="7"/>
    </row>
    <row r="3" spans="2:28" ht="15.75" thickBot="1" x14ac:dyDescent="0.3">
      <c r="B3" s="8" t="s">
        <v>4</v>
      </c>
      <c r="C3" s="9" t="s">
        <v>2</v>
      </c>
      <c r="D3" s="10" t="s">
        <v>1</v>
      </c>
      <c r="E3" s="11" t="s">
        <v>3</v>
      </c>
      <c r="F3" s="10" t="s">
        <v>10</v>
      </c>
      <c r="G3" s="3"/>
      <c r="H3" s="3"/>
      <c r="I3" s="3"/>
      <c r="J3" s="12"/>
      <c r="K3" s="45"/>
      <c r="L3" s="16" t="s">
        <v>21</v>
      </c>
      <c r="M3" s="3"/>
      <c r="N3" s="3"/>
      <c r="O3" s="3"/>
      <c r="P3" s="3"/>
      <c r="Q3" s="3"/>
      <c r="R3" s="3"/>
      <c r="S3" s="12"/>
      <c r="U3" s="8" t="s">
        <v>79</v>
      </c>
      <c r="V3" s="9" t="s">
        <v>2</v>
      </c>
      <c r="W3" s="10" t="s">
        <v>81</v>
      </c>
      <c r="X3" s="11"/>
      <c r="Y3" s="10" t="s">
        <v>82</v>
      </c>
      <c r="Z3" s="10"/>
      <c r="AA3" s="10" t="s">
        <v>83</v>
      </c>
      <c r="AB3" s="12"/>
    </row>
    <row r="4" spans="2:28" x14ac:dyDescent="0.25">
      <c r="B4" s="20">
        <f>D4/(1.08*F4)</f>
        <v>65.586419753086417</v>
      </c>
      <c r="C4" s="13"/>
      <c r="D4" s="1">
        <v>85000</v>
      </c>
      <c r="E4" s="14" t="s">
        <v>3</v>
      </c>
      <c r="F4" s="1">
        <v>1200</v>
      </c>
      <c r="G4" s="13" t="s">
        <v>12</v>
      </c>
      <c r="H4" s="13"/>
      <c r="I4" s="13"/>
      <c r="J4" s="15"/>
      <c r="K4" s="45"/>
      <c r="L4" s="16" t="s">
        <v>64</v>
      </c>
      <c r="M4" s="3"/>
      <c r="N4" s="3"/>
      <c r="O4" s="3"/>
      <c r="P4" s="3"/>
      <c r="Q4" s="3"/>
      <c r="R4" s="3"/>
      <c r="S4" s="12"/>
      <c r="U4" s="27">
        <f>W4+Y4+AA4</f>
        <v>27.5</v>
      </c>
      <c r="V4" s="13"/>
      <c r="W4" s="1">
        <v>5</v>
      </c>
      <c r="X4" s="14"/>
      <c r="Y4" s="1">
        <v>10</v>
      </c>
      <c r="Z4" s="13"/>
      <c r="AA4" s="1">
        <v>12.5</v>
      </c>
      <c r="AB4" s="12"/>
    </row>
    <row r="5" spans="2:28" x14ac:dyDescent="0.25">
      <c r="J5" s="53"/>
      <c r="K5" s="46"/>
      <c r="L5" s="16"/>
      <c r="M5" s="3"/>
      <c r="N5" s="3"/>
      <c r="O5" s="3"/>
      <c r="P5" s="3"/>
      <c r="Q5" s="3"/>
      <c r="R5" s="3"/>
      <c r="S5" s="12"/>
      <c r="U5" s="87" t="s">
        <v>87</v>
      </c>
      <c r="V5" s="23"/>
      <c r="W5" s="86">
        <v>330</v>
      </c>
      <c r="X5" s="23"/>
      <c r="Y5" s="86">
        <v>440</v>
      </c>
      <c r="Z5" s="23"/>
      <c r="AA5" s="86">
        <v>333</v>
      </c>
      <c r="AB5" s="12"/>
    </row>
    <row r="6" spans="2:28" ht="15.75" thickBot="1" x14ac:dyDescent="0.3">
      <c r="B6" s="5" t="s">
        <v>68</v>
      </c>
      <c r="C6" s="6"/>
      <c r="D6" s="6"/>
      <c r="E6" s="6"/>
      <c r="F6" s="6"/>
      <c r="G6" s="6"/>
      <c r="H6" s="6"/>
      <c r="I6" s="6"/>
      <c r="J6" s="7"/>
      <c r="K6" s="45"/>
      <c r="L6" s="8" t="s">
        <v>22</v>
      </c>
      <c r="M6" s="9" t="s">
        <v>2</v>
      </c>
      <c r="N6" s="10" t="s">
        <v>26</v>
      </c>
      <c r="O6" s="11"/>
      <c r="P6" s="10" t="s">
        <v>24</v>
      </c>
      <c r="Q6" s="10"/>
      <c r="R6" s="10" t="s">
        <v>23</v>
      </c>
      <c r="S6" s="12"/>
      <c r="U6" s="31">
        <f>MIN(W5,Y5,AA5)</f>
        <v>330</v>
      </c>
      <c r="V6" s="3"/>
      <c r="W6" s="85" t="s">
        <v>84</v>
      </c>
      <c r="X6" s="3"/>
      <c r="Y6" s="85" t="s">
        <v>85</v>
      </c>
      <c r="Z6" s="85"/>
      <c r="AA6" s="85" t="s">
        <v>86</v>
      </c>
      <c r="AB6" s="12"/>
    </row>
    <row r="7" spans="2:28" ht="15.75" thickBot="1" x14ac:dyDescent="0.3">
      <c r="B7" s="8" t="s">
        <v>0</v>
      </c>
      <c r="C7" s="9" t="s">
        <v>2</v>
      </c>
      <c r="D7" s="10" t="s">
        <v>1</v>
      </c>
      <c r="E7" s="11" t="s">
        <v>3</v>
      </c>
      <c r="F7" s="10" t="s">
        <v>13</v>
      </c>
      <c r="G7" s="3"/>
      <c r="H7" s="3"/>
      <c r="I7" s="3"/>
      <c r="J7" s="12"/>
      <c r="K7" s="45"/>
      <c r="L7" s="20">
        <f>(R7*P7)/N7</f>
        <v>1200</v>
      </c>
      <c r="M7" s="13"/>
      <c r="N7" s="1">
        <v>825</v>
      </c>
      <c r="O7" s="14"/>
      <c r="P7" s="1">
        <v>1000</v>
      </c>
      <c r="Q7" s="13"/>
      <c r="R7" s="1">
        <v>990</v>
      </c>
      <c r="S7" s="12"/>
      <c r="U7" s="31"/>
      <c r="V7" s="3"/>
      <c r="W7" s="85"/>
      <c r="X7" s="3"/>
      <c r="Y7" s="85"/>
      <c r="Z7" s="85"/>
      <c r="AA7" s="85"/>
      <c r="AB7" s="12"/>
    </row>
    <row r="8" spans="2:28" x14ac:dyDescent="0.25">
      <c r="B8" s="20">
        <f>D8/(1.08*F8)</f>
        <v>1124.3386243386242</v>
      </c>
      <c r="C8" s="13"/>
      <c r="D8" s="1">
        <v>85000</v>
      </c>
      <c r="E8" s="14" t="s">
        <v>3</v>
      </c>
      <c r="F8" s="1">
        <v>70</v>
      </c>
      <c r="G8" s="13"/>
      <c r="H8" s="13"/>
      <c r="I8" s="13"/>
      <c r="J8" s="15"/>
      <c r="K8" s="45"/>
      <c r="L8" s="22"/>
      <c r="M8" s="23"/>
      <c r="N8" s="23"/>
      <c r="O8" s="23"/>
      <c r="P8" s="23"/>
      <c r="Q8" s="23"/>
      <c r="R8" s="23"/>
      <c r="S8" s="12"/>
      <c r="U8" s="88" t="s">
        <v>80</v>
      </c>
      <c r="V8" s="3"/>
      <c r="W8" s="3"/>
      <c r="X8" s="3"/>
      <c r="Y8" s="3"/>
      <c r="Z8" s="3"/>
      <c r="AA8" s="3"/>
      <c r="AB8" s="12"/>
    </row>
    <row r="9" spans="2:28" ht="15.75" thickBot="1" x14ac:dyDescent="0.3">
      <c r="J9" s="53"/>
      <c r="K9" s="46"/>
      <c r="L9" s="24" t="s">
        <v>25</v>
      </c>
      <c r="M9" s="9"/>
      <c r="N9" s="9" t="s">
        <v>77</v>
      </c>
      <c r="O9" s="9"/>
      <c r="P9" s="10" t="s">
        <v>26</v>
      </c>
      <c r="Q9" s="10"/>
      <c r="R9" s="10" t="s">
        <v>22</v>
      </c>
      <c r="S9" s="12"/>
      <c r="U9" s="8" t="s">
        <v>79</v>
      </c>
      <c r="V9" s="9" t="s">
        <v>2</v>
      </c>
      <c r="W9" s="10" t="s">
        <v>81</v>
      </c>
      <c r="X9" s="11"/>
      <c r="Y9" s="10" t="s">
        <v>82</v>
      </c>
      <c r="Z9" s="10"/>
      <c r="AA9" s="10" t="s">
        <v>83</v>
      </c>
      <c r="AB9" s="12"/>
    </row>
    <row r="10" spans="2:28" x14ac:dyDescent="0.25">
      <c r="B10" s="5" t="s">
        <v>14</v>
      </c>
      <c r="C10" s="6"/>
      <c r="D10" s="6"/>
      <c r="E10" s="6"/>
      <c r="F10" s="6"/>
      <c r="G10" s="6"/>
      <c r="H10" s="6"/>
      <c r="I10" s="6"/>
      <c r="J10" s="7"/>
      <c r="K10" s="45"/>
      <c r="L10" s="25">
        <f>(R10*P10)/N10</f>
        <v>990</v>
      </c>
      <c r="M10" s="13"/>
      <c r="N10" s="1">
        <v>1000</v>
      </c>
      <c r="O10" s="26"/>
      <c r="P10" s="1">
        <v>825</v>
      </c>
      <c r="Q10" s="13"/>
      <c r="R10" s="1">
        <v>1200</v>
      </c>
      <c r="S10" s="15"/>
      <c r="U10" s="27">
        <f>1/(IFERROR(1/W10,0) + IFERROR(1/Y10,0) + IFERROR(1/AA10,0))</f>
        <v>7.1590909090909092</v>
      </c>
      <c r="V10" s="13"/>
      <c r="W10" s="1">
        <v>35</v>
      </c>
      <c r="X10" s="14"/>
      <c r="Y10" s="1">
        <v>15</v>
      </c>
      <c r="Z10" s="13"/>
      <c r="AA10" s="1">
        <v>22.5</v>
      </c>
      <c r="AB10" s="12"/>
    </row>
    <row r="11" spans="2:28" x14ac:dyDescent="0.25">
      <c r="B11" s="16" t="s">
        <v>67</v>
      </c>
      <c r="C11" s="3"/>
      <c r="D11" s="3"/>
      <c r="E11" s="3"/>
      <c r="F11" s="3"/>
      <c r="G11" s="3"/>
      <c r="H11" s="3"/>
      <c r="I11" s="3"/>
      <c r="J11" s="12"/>
      <c r="K11" s="45"/>
      <c r="U11" s="87" t="s">
        <v>87</v>
      </c>
      <c r="V11" s="23"/>
      <c r="W11" s="86">
        <v>330</v>
      </c>
      <c r="X11" s="23"/>
      <c r="Y11" s="86">
        <v>440</v>
      </c>
      <c r="Z11" s="23"/>
      <c r="AA11" s="86">
        <v>333</v>
      </c>
      <c r="AB11" s="12"/>
    </row>
    <row r="12" spans="2:28" ht="15.75" thickBot="1" x14ac:dyDescent="0.3">
      <c r="B12" s="8" t="s">
        <v>5</v>
      </c>
      <c r="C12" s="9" t="s">
        <v>2</v>
      </c>
      <c r="D12" s="10" t="s">
        <v>1</v>
      </c>
      <c r="E12" s="11"/>
      <c r="F12" s="10"/>
      <c r="G12" s="3"/>
      <c r="H12" s="3"/>
      <c r="I12" s="3"/>
      <c r="J12" s="12"/>
      <c r="K12" s="45"/>
      <c r="L12" s="5" t="s">
        <v>72</v>
      </c>
      <c r="M12" s="6"/>
      <c r="N12" s="6"/>
      <c r="O12" s="6"/>
      <c r="P12" s="6"/>
      <c r="Q12" s="6"/>
      <c r="R12" s="6"/>
      <c r="S12" s="7"/>
      <c r="U12" s="31">
        <f>W11+Y11+AA11</f>
        <v>1103</v>
      </c>
      <c r="V12" s="3"/>
      <c r="W12" s="85" t="s">
        <v>84</v>
      </c>
      <c r="X12" s="3"/>
      <c r="Y12" s="85" t="s">
        <v>85</v>
      </c>
      <c r="Z12" s="85"/>
      <c r="AA12" s="85" t="s">
        <v>86</v>
      </c>
      <c r="AB12" s="12"/>
    </row>
    <row r="13" spans="2:28" x14ac:dyDescent="0.25">
      <c r="B13" s="21">
        <f>(D13/1000) *F13</f>
        <v>1190</v>
      </c>
      <c r="C13" s="3"/>
      <c r="D13" s="2">
        <v>85000</v>
      </c>
      <c r="E13" s="18" t="s">
        <v>11</v>
      </c>
      <c r="F13" s="2">
        <v>14</v>
      </c>
      <c r="G13" s="3" t="s">
        <v>63</v>
      </c>
      <c r="H13" s="3"/>
      <c r="I13" s="3"/>
      <c r="J13" s="12"/>
      <c r="K13" s="45"/>
      <c r="L13" s="16" t="s">
        <v>27</v>
      </c>
      <c r="M13" s="3"/>
      <c r="N13" s="3"/>
      <c r="O13" s="3"/>
      <c r="P13" s="3"/>
      <c r="Q13" s="3"/>
      <c r="R13" s="3"/>
      <c r="S13" s="12"/>
      <c r="U13" s="25"/>
      <c r="V13" s="13"/>
      <c r="W13" s="13"/>
      <c r="X13" s="13"/>
      <c r="Y13" s="13"/>
      <c r="Z13" s="13"/>
      <c r="AA13" s="13"/>
      <c r="AB13" s="15"/>
    </row>
    <row r="14" spans="2:28" x14ac:dyDescent="0.25">
      <c r="B14" s="17"/>
      <c r="C14" s="19"/>
      <c r="D14" s="19"/>
      <c r="E14" s="19"/>
      <c r="F14" s="19"/>
      <c r="G14" s="3"/>
      <c r="H14" s="3"/>
      <c r="I14" s="3"/>
      <c r="J14" s="12"/>
      <c r="K14" s="45"/>
      <c r="L14" s="16" t="s">
        <v>28</v>
      </c>
      <c r="M14" s="3"/>
      <c r="N14" s="3"/>
      <c r="O14" s="3"/>
      <c r="P14" s="3"/>
      <c r="Q14" s="3"/>
      <c r="R14" s="3"/>
      <c r="S14" s="12"/>
    </row>
    <row r="15" spans="2:28" ht="15.75" thickBot="1" x14ac:dyDescent="0.3">
      <c r="B15" s="8" t="s">
        <v>6</v>
      </c>
      <c r="C15" s="9" t="s">
        <v>2</v>
      </c>
      <c r="D15" s="10" t="s">
        <v>7</v>
      </c>
      <c r="E15" s="11"/>
      <c r="F15" s="10" t="s">
        <v>8</v>
      </c>
      <c r="G15" s="3"/>
      <c r="H15" s="3"/>
      <c r="I15" s="3"/>
      <c r="J15" s="12"/>
      <c r="K15" s="45"/>
      <c r="L15" s="16"/>
      <c r="M15" s="3"/>
      <c r="N15" s="3"/>
      <c r="O15" s="3"/>
      <c r="P15" s="3"/>
      <c r="Q15" s="3"/>
      <c r="R15" s="3"/>
      <c r="S15" s="12"/>
    </row>
    <row r="16" spans="2:28" ht="15.75" thickBot="1" x14ac:dyDescent="0.3">
      <c r="B16" s="20">
        <f>D16 * F16</f>
        <v>1600</v>
      </c>
      <c r="C16" s="13"/>
      <c r="D16" s="1">
        <v>4</v>
      </c>
      <c r="E16" s="14" t="s">
        <v>11</v>
      </c>
      <c r="F16" s="1">
        <v>400</v>
      </c>
      <c r="G16" s="13" t="s">
        <v>9</v>
      </c>
      <c r="H16" s="13"/>
      <c r="I16" s="13"/>
      <c r="J16" s="15"/>
      <c r="K16" s="45"/>
      <c r="L16" s="8" t="s">
        <v>29</v>
      </c>
      <c r="M16" s="9" t="s">
        <v>2</v>
      </c>
      <c r="N16" s="10" t="s">
        <v>30</v>
      </c>
      <c r="O16" s="11"/>
      <c r="P16" s="10" t="s">
        <v>26</v>
      </c>
      <c r="Q16" s="10"/>
      <c r="R16" s="10" t="s">
        <v>23</v>
      </c>
      <c r="S16" s="12"/>
    </row>
    <row r="17" spans="2:19" x14ac:dyDescent="0.25">
      <c r="J17" s="53"/>
      <c r="K17" s="46"/>
      <c r="L17" s="64">
        <f>(R17/P17)^2 * N17</f>
        <v>0.72</v>
      </c>
      <c r="M17" s="13"/>
      <c r="N17" s="1">
        <v>0.5</v>
      </c>
      <c r="O17" s="14"/>
      <c r="P17" s="1">
        <v>825</v>
      </c>
      <c r="Q17" s="13"/>
      <c r="R17" s="1">
        <v>990</v>
      </c>
      <c r="S17" s="15"/>
    </row>
    <row r="18" spans="2:19" x14ac:dyDescent="0.25">
      <c r="B18" s="5" t="s">
        <v>15</v>
      </c>
      <c r="C18" s="6"/>
      <c r="D18" s="6" t="s">
        <v>76</v>
      </c>
      <c r="E18" s="6"/>
      <c r="F18" s="6"/>
      <c r="G18" s="6"/>
      <c r="H18" s="6"/>
      <c r="I18" s="6"/>
      <c r="J18" s="7"/>
      <c r="K18" s="45"/>
    </row>
    <row r="19" spans="2:19" x14ac:dyDescent="0.25">
      <c r="B19" s="16" t="s">
        <v>65</v>
      </c>
      <c r="C19" s="3"/>
      <c r="D19" s="3"/>
      <c r="E19" s="3"/>
      <c r="F19" s="3"/>
      <c r="G19" s="3"/>
      <c r="H19" s="3"/>
      <c r="I19" s="3"/>
      <c r="J19" s="12"/>
      <c r="K19" s="45"/>
      <c r="L19" s="5" t="s">
        <v>73</v>
      </c>
      <c r="M19" s="6"/>
      <c r="N19" s="6"/>
      <c r="O19" s="6"/>
      <c r="P19" s="6"/>
      <c r="Q19" s="6"/>
      <c r="R19" s="6"/>
      <c r="S19" s="7"/>
    </row>
    <row r="20" spans="2:19" ht="15.75" thickBot="1" x14ac:dyDescent="0.3">
      <c r="B20" s="8" t="s">
        <v>16</v>
      </c>
      <c r="C20" s="9" t="s">
        <v>2</v>
      </c>
      <c r="D20" s="10" t="s">
        <v>0</v>
      </c>
      <c r="E20" s="11" t="s">
        <v>17</v>
      </c>
      <c r="F20" s="10" t="s">
        <v>4</v>
      </c>
      <c r="G20" s="3"/>
      <c r="H20" s="3"/>
      <c r="I20" s="3"/>
      <c r="J20" s="58"/>
      <c r="K20" s="45"/>
      <c r="L20" s="16" t="s">
        <v>31</v>
      </c>
      <c r="M20" s="3"/>
      <c r="N20" s="3"/>
      <c r="O20" s="3"/>
      <c r="P20" s="3"/>
      <c r="Q20" s="3"/>
      <c r="R20" s="3"/>
      <c r="S20" s="12"/>
    </row>
    <row r="21" spans="2:19" x14ac:dyDescent="0.25">
      <c r="B21" s="21">
        <f>D21 * 1.08*F21</f>
        <v>55080.000000000007</v>
      </c>
      <c r="C21" s="3"/>
      <c r="D21" s="2">
        <v>850</v>
      </c>
      <c r="E21" s="18" t="s">
        <v>17</v>
      </c>
      <c r="F21" s="2">
        <v>60</v>
      </c>
      <c r="G21" s="3" t="s">
        <v>18</v>
      </c>
      <c r="H21" s="3"/>
      <c r="I21" s="3"/>
      <c r="J21" s="12"/>
      <c r="K21" s="45"/>
      <c r="L21" s="16" t="s">
        <v>32</v>
      </c>
      <c r="M21" s="3"/>
      <c r="N21" s="3"/>
      <c r="O21" s="3"/>
      <c r="P21" s="3"/>
      <c r="Q21" s="3"/>
      <c r="R21" s="3"/>
      <c r="S21" s="12"/>
    </row>
    <row r="22" spans="2:19" ht="15.75" thickBot="1" x14ac:dyDescent="0.3">
      <c r="B22" s="21"/>
      <c r="C22" s="32"/>
      <c r="D22" s="32"/>
      <c r="E22" s="32"/>
      <c r="F22" s="32"/>
      <c r="G22" s="32"/>
      <c r="H22" s="32"/>
      <c r="I22" s="32"/>
      <c r="J22" s="28"/>
      <c r="K22" s="46"/>
      <c r="L22" s="16"/>
      <c r="M22" s="3"/>
      <c r="N22" s="3"/>
      <c r="O22" s="3"/>
      <c r="P22" s="3"/>
      <c r="Q22" s="3"/>
      <c r="R22" s="3"/>
      <c r="S22" s="12"/>
    </row>
    <row r="23" spans="2:19" ht="15.75" thickBot="1" x14ac:dyDescent="0.3">
      <c r="B23" s="76"/>
      <c r="C23" s="83" t="s">
        <v>75</v>
      </c>
      <c r="D23" s="81">
        <v>80000</v>
      </c>
      <c r="E23" s="75"/>
      <c r="F23" s="77">
        <f>B21/D23</f>
        <v>0.68850000000000011</v>
      </c>
      <c r="G23" s="82" t="s">
        <v>74</v>
      </c>
      <c r="H23" s="78"/>
      <c r="I23" s="79"/>
      <c r="J23" s="80"/>
      <c r="K23" s="45"/>
      <c r="L23" s="8" t="s">
        <v>33</v>
      </c>
      <c r="M23" s="9" t="s">
        <v>2</v>
      </c>
      <c r="N23" s="10" t="s">
        <v>34</v>
      </c>
      <c r="O23" s="11"/>
      <c r="P23" s="10" t="s">
        <v>23</v>
      </c>
      <c r="Q23" s="10"/>
      <c r="R23" s="10" t="s">
        <v>26</v>
      </c>
      <c r="S23" s="12"/>
    </row>
    <row r="24" spans="2:19" x14ac:dyDescent="0.25">
      <c r="K24" s="45"/>
      <c r="L24" s="27">
        <f>(P24/R24)^3 * N24</f>
        <v>0.57023999999999997</v>
      </c>
      <c r="M24" s="13"/>
      <c r="N24" s="1">
        <v>0.33</v>
      </c>
      <c r="O24" s="14"/>
      <c r="P24" s="1">
        <v>990</v>
      </c>
      <c r="Q24" s="13"/>
      <c r="R24" s="1">
        <v>825</v>
      </c>
      <c r="S24" s="15"/>
    </row>
    <row r="25" spans="2:19" x14ac:dyDescent="0.25">
      <c r="B25" s="5" t="s">
        <v>69</v>
      </c>
      <c r="C25" s="6"/>
      <c r="D25" s="6"/>
      <c r="E25" s="6"/>
      <c r="F25" s="6"/>
      <c r="G25" s="6"/>
      <c r="H25" s="6"/>
      <c r="I25" s="6"/>
      <c r="J25" s="7"/>
      <c r="K25" s="47"/>
    </row>
    <row r="26" spans="2:19" x14ac:dyDescent="0.25">
      <c r="B26" s="16"/>
      <c r="C26" s="3"/>
      <c r="D26" s="18" t="s">
        <v>41</v>
      </c>
      <c r="E26" s="3"/>
      <c r="F26" s="38"/>
      <c r="G26" s="38"/>
      <c r="H26" s="38"/>
      <c r="I26" s="38" t="s">
        <v>47</v>
      </c>
      <c r="J26" s="12"/>
      <c r="K26" s="48"/>
      <c r="L26" s="5" t="s">
        <v>35</v>
      </c>
      <c r="M26" s="6"/>
      <c r="N26" s="6"/>
      <c r="O26" s="6"/>
      <c r="P26" s="6"/>
      <c r="Q26" s="6"/>
      <c r="R26" s="6"/>
      <c r="S26" s="7"/>
    </row>
    <row r="27" spans="2:19" ht="21.75" customHeight="1" thickBot="1" x14ac:dyDescent="0.3">
      <c r="B27" s="8" t="s">
        <v>44</v>
      </c>
      <c r="C27" s="9"/>
      <c r="D27" s="11" t="s">
        <v>42</v>
      </c>
      <c r="E27" s="11"/>
      <c r="F27" s="10" t="s">
        <v>55</v>
      </c>
      <c r="G27" s="10"/>
      <c r="H27" s="10" t="s">
        <v>54</v>
      </c>
      <c r="I27" s="51"/>
      <c r="J27" s="40" t="s">
        <v>48</v>
      </c>
      <c r="K27" s="49"/>
      <c r="L27" s="16"/>
      <c r="M27" s="3"/>
      <c r="N27" s="18" t="s">
        <v>39</v>
      </c>
      <c r="O27" s="3"/>
      <c r="P27" s="18" t="s">
        <v>39</v>
      </c>
      <c r="Q27" s="3"/>
      <c r="R27" s="3"/>
      <c r="S27" s="12"/>
    </row>
    <row r="28" spans="2:19" ht="15.75" thickBot="1" x14ac:dyDescent="0.3">
      <c r="B28" s="20">
        <f>F28*((H28*J28)/144)</f>
        <v>1298.5787002045736</v>
      </c>
      <c r="C28" s="13"/>
      <c r="D28" s="1">
        <v>5.45E-2</v>
      </c>
      <c r="E28" s="14"/>
      <c r="F28" s="60">
        <f>(SQRT(D28)*4005)</f>
        <v>934.97666414729304</v>
      </c>
      <c r="G28" s="13"/>
      <c r="H28" s="1">
        <v>20</v>
      </c>
      <c r="I28" s="52"/>
      <c r="J28" s="61">
        <v>10</v>
      </c>
      <c r="K28" s="45"/>
      <c r="L28" s="8" t="s">
        <v>36</v>
      </c>
      <c r="M28" s="9" t="s">
        <v>2</v>
      </c>
      <c r="N28" s="11" t="s">
        <v>38</v>
      </c>
      <c r="O28" s="11"/>
      <c r="P28" s="11" t="s">
        <v>40</v>
      </c>
      <c r="Q28" s="10"/>
      <c r="R28" s="10" t="s">
        <v>37</v>
      </c>
      <c r="S28" s="12"/>
    </row>
    <row r="29" spans="2:19" ht="15.75" thickBot="1" x14ac:dyDescent="0.3">
      <c r="B29" s="34" t="s">
        <v>43</v>
      </c>
      <c r="C29" s="35"/>
      <c r="D29" s="36" t="s">
        <v>41</v>
      </c>
      <c r="E29" s="35"/>
      <c r="F29" s="37" t="s">
        <v>55</v>
      </c>
      <c r="G29" s="37"/>
      <c r="H29" s="37" t="s">
        <v>56</v>
      </c>
      <c r="I29" s="32"/>
      <c r="J29" s="28"/>
      <c r="K29" s="45"/>
      <c r="L29" s="20">
        <f>(P29/N29) *R29</f>
        <v>739.28571428571422</v>
      </c>
      <c r="M29" s="13"/>
      <c r="N29" s="1">
        <v>7</v>
      </c>
      <c r="O29" s="14"/>
      <c r="P29" s="1">
        <v>3</v>
      </c>
      <c r="Q29" s="13"/>
      <c r="R29" s="1">
        <v>1725</v>
      </c>
      <c r="S29" s="15"/>
    </row>
    <row r="30" spans="2:19" x14ac:dyDescent="0.25">
      <c r="B30" s="31">
        <f>F30*( PI()*(H30/2/12)^2)</f>
        <v>1152.6402275749808</v>
      </c>
      <c r="C30" s="3"/>
      <c r="D30" s="2">
        <v>5.5E-2</v>
      </c>
      <c r="E30" s="18"/>
      <c r="F30" s="19">
        <f>(SQRT(D30)*4005)</f>
        <v>939.25575590464177</v>
      </c>
      <c r="G30" s="32"/>
      <c r="H30" s="59">
        <v>15</v>
      </c>
      <c r="I30" s="3"/>
      <c r="J30" s="12"/>
      <c r="K30" s="45"/>
    </row>
    <row r="31" spans="2:19" x14ac:dyDescent="0.25">
      <c r="B31" s="21"/>
      <c r="C31" s="32"/>
      <c r="D31" s="32"/>
      <c r="E31" s="32"/>
      <c r="F31" s="32"/>
      <c r="G31" s="32"/>
      <c r="H31" s="32"/>
      <c r="I31" s="3"/>
      <c r="J31" s="12"/>
      <c r="K31" s="50"/>
      <c r="L31" s="5" t="s">
        <v>59</v>
      </c>
      <c r="M31" s="6"/>
      <c r="N31" s="6"/>
      <c r="O31" s="6"/>
      <c r="P31" s="6"/>
      <c r="Q31" s="6"/>
      <c r="R31" s="74" t="s">
        <v>62</v>
      </c>
      <c r="S31" s="7"/>
    </row>
    <row r="32" spans="2:19" ht="15.75" thickBot="1" x14ac:dyDescent="0.3">
      <c r="B32" s="17" t="s">
        <v>70</v>
      </c>
      <c r="C32" s="32"/>
      <c r="D32" s="32"/>
      <c r="E32" s="32"/>
      <c r="F32" s="32"/>
      <c r="G32" s="32"/>
      <c r="H32" s="32"/>
      <c r="I32" s="3"/>
      <c r="J32" s="12"/>
      <c r="K32" s="44"/>
      <c r="L32" s="8" t="s">
        <v>0</v>
      </c>
      <c r="M32" s="9" t="s">
        <v>2</v>
      </c>
      <c r="N32" s="11" t="s">
        <v>60</v>
      </c>
      <c r="O32" s="11" t="s">
        <v>17</v>
      </c>
      <c r="P32" s="11" t="s">
        <v>61</v>
      </c>
      <c r="Q32" s="10" t="s">
        <v>17</v>
      </c>
      <c r="R32" s="51" t="s">
        <v>4</v>
      </c>
      <c r="S32" s="73"/>
    </row>
    <row r="33" spans="2:19" ht="15.75" thickBot="1" x14ac:dyDescent="0.3">
      <c r="B33" s="24" t="s">
        <v>45</v>
      </c>
      <c r="C33" s="33"/>
      <c r="D33" s="39" t="s">
        <v>51</v>
      </c>
      <c r="E33" s="33"/>
      <c r="F33" s="39" t="s">
        <v>50</v>
      </c>
      <c r="G33" s="33"/>
      <c r="H33" s="33" t="s">
        <v>46</v>
      </c>
      <c r="I33" s="33"/>
      <c r="J33" s="54" t="s">
        <v>49</v>
      </c>
      <c r="L33" s="20">
        <f>(N33*P33*3.4141)/(1.08 *R33)</f>
        <v>1168.5163690476188</v>
      </c>
      <c r="M33" s="13"/>
      <c r="N33" s="1">
        <v>230</v>
      </c>
      <c r="O33" s="14"/>
      <c r="P33" s="1">
        <v>45</v>
      </c>
      <c r="Q33" s="13"/>
      <c r="R33" s="72">
        <v>28</v>
      </c>
      <c r="S33" s="15"/>
    </row>
    <row r="34" spans="2:19" x14ac:dyDescent="0.25">
      <c r="B34" s="20">
        <f>D34/F34</f>
        <v>1550.2857697331262</v>
      </c>
      <c r="C34" s="42"/>
      <c r="D34" s="55">
        <v>1299</v>
      </c>
      <c r="E34" s="42"/>
      <c r="F34" s="43">
        <f>(70+460)/(H34+460) *(POWER(1-(6.8754*0.000001*J34),5.2561))</f>
        <v>0.83791003269262809</v>
      </c>
      <c r="G34" s="41"/>
      <c r="H34" s="56">
        <v>150</v>
      </c>
      <c r="I34" s="41"/>
      <c r="J34" s="57">
        <v>1000</v>
      </c>
    </row>
    <row r="35" spans="2:19" x14ac:dyDescent="0.25">
      <c r="B35" s="29"/>
    </row>
    <row r="36" spans="2:19" x14ac:dyDescent="0.25">
      <c r="B36" s="30" t="s">
        <v>58</v>
      </c>
    </row>
    <row r="37" spans="2:19" x14ac:dyDescent="0.25">
      <c r="B37" s="65" t="s">
        <v>19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</row>
    <row r="38" spans="2:19" x14ac:dyDescent="0.25">
      <c r="B38" s="68">
        <v>5.2555880000000004</v>
      </c>
      <c r="C38" s="53" t="s">
        <v>52</v>
      </c>
      <c r="D38" s="53"/>
      <c r="E38" s="53"/>
      <c r="F38" s="53">
        <v>5.2561</v>
      </c>
      <c r="G38" s="53"/>
      <c r="H38" s="53" t="s">
        <v>57</v>
      </c>
      <c r="I38" s="53"/>
      <c r="J38" s="53"/>
      <c r="K38" s="53"/>
      <c r="L38" s="53"/>
      <c r="M38" s="69"/>
    </row>
    <row r="39" spans="2:19" x14ac:dyDescent="0.25">
      <c r="B39" s="68" t="s">
        <v>53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69"/>
    </row>
    <row r="40" spans="2:19" x14ac:dyDescent="0.25">
      <c r="B40" s="68">
        <f>(70+460)/(150+460) *(POWER(1-(6.8754*0.000001* 3000),5.255588))</f>
        <v>0.77870862242559835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69"/>
    </row>
    <row r="41" spans="2:19" x14ac:dyDescent="0.25">
      <c r="B41" s="70">
        <f>(70+460)/(150+460) *(POWER(1-(6.8754*0.000001* 3000),5.255588))</f>
        <v>0.77870862242559835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71"/>
    </row>
  </sheetData>
  <sheetProtection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Alan</cp:lastModifiedBy>
  <cp:lastPrinted>2022-01-04T15:41:28Z</cp:lastPrinted>
  <dcterms:created xsi:type="dcterms:W3CDTF">2021-12-31T14:43:47Z</dcterms:created>
  <dcterms:modified xsi:type="dcterms:W3CDTF">2022-01-17T01:34:52Z</dcterms:modified>
</cp:coreProperties>
</file>